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合格）海口市妇幼保健院2020年公开招聘编外专业技术人(2)" sheetId="1" r:id="rId1"/>
  </sheets>
  <definedNames>
    <definedName name="_xlnm.Print_Area" localSheetId="0">'（合格）海口市妇幼保健院2020年公开招聘编外专业技术人(2)'!$A$2:$J$79</definedName>
    <definedName name="_xlnm.Print_Titles" localSheetId="0">'（合格）海口市妇幼保健院2020年公开招聘编外专业技术人(2)'!$1:$3</definedName>
  </definedNames>
  <calcPr fullCalcOnLoad="1"/>
</workbook>
</file>

<file path=xl/sharedStrings.xml><?xml version="1.0" encoding="utf-8"?>
<sst xmlns="http://schemas.openxmlformats.org/spreadsheetml/2006/main" count="110" uniqueCount="50">
  <si>
    <t>序号</t>
  </si>
  <si>
    <t>姓名</t>
  </si>
  <si>
    <t>报考岗位</t>
  </si>
  <si>
    <t>性别</t>
  </si>
  <si>
    <t>出生年月</t>
  </si>
  <si>
    <t>学历</t>
  </si>
  <si>
    <t>学位</t>
  </si>
  <si>
    <t>所学专业</t>
  </si>
  <si>
    <t>职称</t>
  </si>
  <si>
    <t>备注</t>
  </si>
  <si>
    <t>0101_新生儿科医师</t>
  </si>
  <si>
    <t>医师</t>
  </si>
  <si>
    <t>0104_妇科医师</t>
  </si>
  <si>
    <t>0105_产科医师（医师）</t>
  </si>
  <si>
    <t>主治医师</t>
  </si>
  <si>
    <t>0108_儿童康复科康复技师</t>
  </si>
  <si>
    <t>康复技师</t>
  </si>
  <si>
    <t>0111_儿保科孤独症治疗师</t>
  </si>
  <si>
    <t>无</t>
  </si>
  <si>
    <t>0112_儿保科智力障碍、语言障碍治疗师</t>
  </si>
  <si>
    <t>0117_儿保科公共卫生医师</t>
  </si>
  <si>
    <t>0119_儿保科口腔医师</t>
  </si>
  <si>
    <t>0120_妇保科（男性）</t>
  </si>
  <si>
    <t>0121_妇保科（女性）</t>
  </si>
  <si>
    <t>0122_产后康复科康复治疗师</t>
  </si>
  <si>
    <t>0123_药剂科西药师</t>
  </si>
  <si>
    <t>0124_药剂科中药师</t>
  </si>
  <si>
    <t>0127_检验科</t>
  </si>
  <si>
    <t>检验技师</t>
  </si>
  <si>
    <t>主管检验技师</t>
  </si>
  <si>
    <t>0131_超声医学科（超声医学）（医师及以上）</t>
  </si>
  <si>
    <t>0139_生殖中心临床医师</t>
  </si>
  <si>
    <t>0143_产前诊断中心分子遗传实验室（本科及以上，35周岁及以下）</t>
  </si>
  <si>
    <t>病理主管技师</t>
  </si>
  <si>
    <t>0145_产前诊断中心分子遗传实验室（本科及以上，40周岁及以下）</t>
  </si>
  <si>
    <t>0148_护理人员</t>
  </si>
  <si>
    <t>护理师</t>
  </si>
  <si>
    <t>护士</t>
  </si>
  <si>
    <t>0149_助产人员</t>
  </si>
  <si>
    <t>0151_医务科科员</t>
  </si>
  <si>
    <t>0154_医保科科员</t>
  </si>
  <si>
    <t>0155_信息科科员</t>
  </si>
  <si>
    <t>0157_财务人员</t>
  </si>
  <si>
    <r>
      <t>010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_门诊医师</t>
    </r>
  </si>
  <si>
    <r>
      <t>01</t>
    </r>
    <r>
      <rPr>
        <sz val="11"/>
        <color indexed="8"/>
        <rFont val="宋体"/>
        <family val="0"/>
      </rPr>
      <t>40</t>
    </r>
    <r>
      <rPr>
        <sz val="11"/>
        <color theme="1"/>
        <rFont val="Calibri"/>
        <family val="0"/>
      </rPr>
      <t>_产前诊断中心临床医师</t>
    </r>
  </si>
  <si>
    <t>0159_后勤管理科基建工程
管理员</t>
  </si>
  <si>
    <t>附件：</t>
  </si>
  <si>
    <t>0129_检验科（细胞学）
（初级职称及以上）</t>
  </si>
  <si>
    <t>0107_儿童康复科医师
（儿童神经方向）</t>
  </si>
  <si>
    <t>海口市妇幼保健院2020年公开招聘编外专业技术人员拟录用人员名册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</si>
</sst>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8"/>
      <color rgb="FF000000"/>
      <name val="方正小标宋简体"/>
      <family val="0"/>
    </font>
    <font>
      <sz val="11"/>
      <color rgb="FF000000"/>
      <name val="方正小标宋简体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82"/>
  <sheetViews>
    <sheetView tabSelected="1" workbookViewId="0" topLeftCell="A1">
      <selection activeCell="A2" sqref="A2:J2"/>
    </sheetView>
  </sheetViews>
  <sheetFormatPr defaultColWidth="9.140625" defaultRowHeight="30" customHeight="1"/>
  <cols>
    <col min="1" max="1" width="5.421875" style="2" customWidth="1"/>
    <col min="2" max="2" width="7.00390625" style="2" customWidth="1"/>
    <col min="3" max="3" width="29.140625" style="2" customWidth="1"/>
    <col min="4" max="4" width="5.28125" style="2" customWidth="1"/>
    <col min="5" max="5" width="11.00390625" style="3" customWidth="1"/>
    <col min="6" max="6" width="7.421875" style="3" customWidth="1"/>
    <col min="7" max="7" width="5.421875" style="3" customWidth="1"/>
    <col min="8" max="8" width="13.8515625" style="3" customWidth="1"/>
    <col min="9" max="9" width="10.8515625" style="4" customWidth="1"/>
    <col min="10" max="10" width="6.421875" style="2" customWidth="1"/>
    <col min="11" max="219" width="9.00390625" style="2" customWidth="1"/>
    <col min="220" max="16384" width="9.00390625" style="5" customWidth="1"/>
  </cols>
  <sheetData>
    <row r="1" spans="1:219" s="15" customFormat="1" ht="30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</row>
    <row r="2" spans="1:10" ht="30" customHeight="1">
      <c r="A2" s="24" t="s">
        <v>49</v>
      </c>
      <c r="B2" s="24"/>
      <c r="C2" s="25"/>
      <c r="D2" s="24"/>
      <c r="E2" s="24"/>
      <c r="F2" s="24"/>
      <c r="G2" s="24"/>
      <c r="H2" s="24"/>
      <c r="I2" s="24"/>
      <c r="J2" s="24"/>
    </row>
    <row r="3" spans="1:10" s="1" customFormat="1" ht="30" customHeight="1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2" t="s">
        <v>8</v>
      </c>
      <c r="J3" s="6" t="s">
        <v>9</v>
      </c>
    </row>
    <row r="4" spans="1:10" ht="30" customHeight="1">
      <c r="A4" s="9">
        <v>1</v>
      </c>
      <c r="B4" s="8" t="str">
        <f>"黄家伟"</f>
        <v>黄家伟</v>
      </c>
      <c r="C4" s="9" t="s">
        <v>10</v>
      </c>
      <c r="D4" s="8" t="str">
        <f>"男"</f>
        <v>男</v>
      </c>
      <c r="E4" s="9" t="str">
        <f>"1992-03-11"</f>
        <v>1992-03-11</v>
      </c>
      <c r="F4" s="9" t="str">
        <f aca="true" t="shared" si="0" ref="F4:F11">"本科"</f>
        <v>本科</v>
      </c>
      <c r="G4" s="9" t="str">
        <f aca="true" t="shared" si="1" ref="G4:G11">"学士"</f>
        <v>学士</v>
      </c>
      <c r="H4" s="9" t="str">
        <f aca="true" t="shared" si="2" ref="H4:H11">"临床医学"</f>
        <v>临床医学</v>
      </c>
      <c r="I4" s="13" t="str">
        <f>"医师"</f>
        <v>医师</v>
      </c>
      <c r="J4" s="8"/>
    </row>
    <row r="5" spans="1:10" ht="30" customHeight="1">
      <c r="A5" s="17">
        <v>2</v>
      </c>
      <c r="B5" s="8" t="str">
        <f>"吴清良"</f>
        <v>吴清良</v>
      </c>
      <c r="C5" s="9" t="s">
        <v>10</v>
      </c>
      <c r="D5" s="8" t="str">
        <f>"男"</f>
        <v>男</v>
      </c>
      <c r="E5" s="9" t="str">
        <f>"1990-02-23"</f>
        <v>1990-02-23</v>
      </c>
      <c r="F5" s="9" t="str">
        <f t="shared" si="0"/>
        <v>本科</v>
      </c>
      <c r="G5" s="9" t="str">
        <f t="shared" si="1"/>
        <v>学士</v>
      </c>
      <c r="H5" s="9" t="str">
        <f t="shared" si="2"/>
        <v>临床医学</v>
      </c>
      <c r="I5" s="13" t="str">
        <f>"医师"</f>
        <v>医师</v>
      </c>
      <c r="J5" s="8"/>
    </row>
    <row r="6" spans="1:10" ht="30" customHeight="1">
      <c r="A6" s="17">
        <v>3</v>
      </c>
      <c r="B6" s="8" t="str">
        <f>"李亚月"</f>
        <v>李亚月</v>
      </c>
      <c r="C6" s="17" t="s">
        <v>43</v>
      </c>
      <c r="D6" s="8" t="str">
        <f aca="true" t="shared" si="3" ref="D6:D16">"女"</f>
        <v>女</v>
      </c>
      <c r="E6" s="9" t="str">
        <f>"1987-09-14"</f>
        <v>1987-09-14</v>
      </c>
      <c r="F6" s="9" t="str">
        <f t="shared" si="0"/>
        <v>本科</v>
      </c>
      <c r="G6" s="9" t="str">
        <f t="shared" si="1"/>
        <v>学士</v>
      </c>
      <c r="H6" s="9" t="str">
        <f t="shared" si="2"/>
        <v>临床医学</v>
      </c>
      <c r="I6" s="13" t="str">
        <f>"主治医师"</f>
        <v>主治医师</v>
      </c>
      <c r="J6" s="8"/>
    </row>
    <row r="7" spans="1:10" ht="30" customHeight="1">
      <c r="A7" s="17">
        <v>4</v>
      </c>
      <c r="B7" s="8" t="str">
        <f>"杨和风"</f>
        <v>杨和风</v>
      </c>
      <c r="C7" s="9" t="s">
        <v>12</v>
      </c>
      <c r="D7" s="8" t="str">
        <f t="shared" si="3"/>
        <v>女</v>
      </c>
      <c r="E7" s="9" t="str">
        <f>"1991-07-10"</f>
        <v>1991-07-10</v>
      </c>
      <c r="F7" s="9" t="str">
        <f t="shared" si="0"/>
        <v>本科</v>
      </c>
      <c r="G7" s="9" t="str">
        <f t="shared" si="1"/>
        <v>学士</v>
      </c>
      <c r="H7" s="9" t="str">
        <f t="shared" si="2"/>
        <v>临床医学</v>
      </c>
      <c r="I7" s="13" t="str">
        <f>"医师"</f>
        <v>医师</v>
      </c>
      <c r="J7" s="8"/>
    </row>
    <row r="8" spans="1:10" ht="30" customHeight="1">
      <c r="A8" s="17">
        <v>5</v>
      </c>
      <c r="B8" s="8" t="str">
        <f>"欧欣欣"</f>
        <v>欧欣欣</v>
      </c>
      <c r="C8" s="9" t="s">
        <v>13</v>
      </c>
      <c r="D8" s="8" t="str">
        <f t="shared" si="3"/>
        <v>女</v>
      </c>
      <c r="E8" s="9" t="str">
        <f>"1993-05-14"</f>
        <v>1993-05-14</v>
      </c>
      <c r="F8" s="9" t="str">
        <f aca="true" t="shared" si="4" ref="F8:F13">"本科"</f>
        <v>本科</v>
      </c>
      <c r="G8" s="9" t="str">
        <f aca="true" t="shared" si="5" ref="G8:G13">"学士"</f>
        <v>学士</v>
      </c>
      <c r="H8" s="9" t="str">
        <f>"临床医学"</f>
        <v>临床医学</v>
      </c>
      <c r="I8" s="13" t="str">
        <f>"医师"</f>
        <v>医师</v>
      </c>
      <c r="J8" s="8"/>
    </row>
    <row r="9" spans="1:10" ht="30" customHeight="1">
      <c r="A9" s="17">
        <v>6</v>
      </c>
      <c r="B9" s="8" t="str">
        <f>"张运梅"</f>
        <v>张运梅</v>
      </c>
      <c r="C9" s="9" t="s">
        <v>13</v>
      </c>
      <c r="D9" s="8" t="str">
        <f t="shared" si="3"/>
        <v>女</v>
      </c>
      <c r="E9" s="9" t="str">
        <f>"1992-06-07"</f>
        <v>1992-06-07</v>
      </c>
      <c r="F9" s="9" t="str">
        <f t="shared" si="0"/>
        <v>本科</v>
      </c>
      <c r="G9" s="9" t="str">
        <f t="shared" si="1"/>
        <v>学士</v>
      </c>
      <c r="H9" s="9" t="str">
        <f t="shared" si="2"/>
        <v>临床医学</v>
      </c>
      <c r="I9" s="13" t="str">
        <f>"医师"</f>
        <v>医师</v>
      </c>
      <c r="J9" s="8"/>
    </row>
    <row r="10" spans="1:10" ht="30" customHeight="1">
      <c r="A10" s="17">
        <v>7</v>
      </c>
      <c r="B10" s="8" t="str">
        <f>"王玉优"</f>
        <v>王玉优</v>
      </c>
      <c r="C10" s="9" t="s">
        <v>13</v>
      </c>
      <c r="D10" s="8" t="str">
        <f t="shared" si="3"/>
        <v>女</v>
      </c>
      <c r="E10" s="9" t="str">
        <f>"1992-05-19"</f>
        <v>1992-05-19</v>
      </c>
      <c r="F10" s="9" t="str">
        <f t="shared" si="0"/>
        <v>本科</v>
      </c>
      <c r="G10" s="9" t="str">
        <f t="shared" si="1"/>
        <v>学士</v>
      </c>
      <c r="H10" s="9" t="str">
        <f t="shared" si="2"/>
        <v>临床医学</v>
      </c>
      <c r="I10" s="13" t="str">
        <f>"医师"</f>
        <v>医师</v>
      </c>
      <c r="J10" s="8"/>
    </row>
    <row r="11" spans="1:10" ht="30" customHeight="1">
      <c r="A11" s="17">
        <v>8</v>
      </c>
      <c r="B11" s="8" t="str">
        <f>"林丽萍"</f>
        <v>林丽萍</v>
      </c>
      <c r="C11" s="9" t="s">
        <v>13</v>
      </c>
      <c r="D11" s="8" t="str">
        <f t="shared" si="3"/>
        <v>女</v>
      </c>
      <c r="E11" s="9" t="str">
        <f>"1989-05-04"</f>
        <v>1989-05-04</v>
      </c>
      <c r="F11" s="9" t="str">
        <f t="shared" si="0"/>
        <v>本科</v>
      </c>
      <c r="G11" s="9" t="str">
        <f t="shared" si="1"/>
        <v>学士</v>
      </c>
      <c r="H11" s="9" t="str">
        <f t="shared" si="2"/>
        <v>临床医学</v>
      </c>
      <c r="I11" s="13" t="s">
        <v>14</v>
      </c>
      <c r="J11" s="8"/>
    </row>
    <row r="12" spans="1:10" ht="30" customHeight="1">
      <c r="A12" s="17">
        <v>9</v>
      </c>
      <c r="B12" s="8" t="str">
        <f>"吴丹凡"</f>
        <v>吴丹凡</v>
      </c>
      <c r="C12" s="9" t="s">
        <v>13</v>
      </c>
      <c r="D12" s="8" t="str">
        <f t="shared" si="3"/>
        <v>女</v>
      </c>
      <c r="E12" s="9" t="str">
        <f>"1987-09-04"</f>
        <v>1987-09-04</v>
      </c>
      <c r="F12" s="9" t="str">
        <f t="shared" si="4"/>
        <v>本科</v>
      </c>
      <c r="G12" s="9" t="str">
        <f t="shared" si="5"/>
        <v>学士</v>
      </c>
      <c r="H12" s="9" t="str">
        <f>"临床医学"</f>
        <v>临床医学</v>
      </c>
      <c r="I12" s="13" t="str">
        <f>"医师"</f>
        <v>医师</v>
      </c>
      <c r="J12" s="8"/>
    </row>
    <row r="13" spans="1:10" ht="30" customHeight="1">
      <c r="A13" s="17">
        <v>10</v>
      </c>
      <c r="B13" s="8" t="str">
        <f>"叶兰"</f>
        <v>叶兰</v>
      </c>
      <c r="C13" s="9" t="s">
        <v>13</v>
      </c>
      <c r="D13" s="8" t="str">
        <f t="shared" si="3"/>
        <v>女</v>
      </c>
      <c r="E13" s="9" t="str">
        <f>"1992-01-02"</f>
        <v>1992-01-02</v>
      </c>
      <c r="F13" s="9" t="str">
        <f t="shared" si="4"/>
        <v>本科</v>
      </c>
      <c r="G13" s="9" t="str">
        <f t="shared" si="5"/>
        <v>学士</v>
      </c>
      <c r="H13" s="9" t="str">
        <f>"临床医学"</f>
        <v>临床医学</v>
      </c>
      <c r="I13" s="13" t="s">
        <v>11</v>
      </c>
      <c r="J13" s="8"/>
    </row>
    <row r="14" spans="1:10" ht="30" customHeight="1">
      <c r="A14" s="17">
        <v>11</v>
      </c>
      <c r="B14" s="9" t="str">
        <f>"郑梅"</f>
        <v>郑梅</v>
      </c>
      <c r="C14" s="10" t="s">
        <v>31</v>
      </c>
      <c r="D14" s="9" t="str">
        <f t="shared" si="3"/>
        <v>女</v>
      </c>
      <c r="E14" s="9" t="str">
        <f>"1988-10-03"</f>
        <v>1988-10-03</v>
      </c>
      <c r="F14" s="9" t="str">
        <f>"硕士研究生"</f>
        <v>硕士研究生</v>
      </c>
      <c r="G14" s="9" t="str">
        <f>"硕士"</f>
        <v>硕士</v>
      </c>
      <c r="H14" s="11" t="str">
        <f>"妇产科学（生殖与遗传方向）"</f>
        <v>妇产科学（生殖与遗传方向）</v>
      </c>
      <c r="I14" s="13" t="str">
        <f>"医师"</f>
        <v>医师</v>
      </c>
      <c r="J14" s="8"/>
    </row>
    <row r="15" spans="1:10" ht="30" customHeight="1">
      <c r="A15" s="17">
        <v>12</v>
      </c>
      <c r="B15" s="9" t="str">
        <f>"吴成惠"</f>
        <v>吴成惠</v>
      </c>
      <c r="C15" s="18" t="s">
        <v>44</v>
      </c>
      <c r="D15" s="9" t="str">
        <f t="shared" si="3"/>
        <v>女</v>
      </c>
      <c r="E15" s="9" t="str">
        <f>"1992-01-12"</f>
        <v>1992-01-12</v>
      </c>
      <c r="F15" s="9" t="str">
        <f aca="true" t="shared" si="6" ref="F15:F21">"本科"</f>
        <v>本科</v>
      </c>
      <c r="G15" s="9" t="str">
        <f aca="true" t="shared" si="7" ref="G15:G28">"学士"</f>
        <v>学士</v>
      </c>
      <c r="H15" s="9" t="str">
        <f>"临床医学"</f>
        <v>临床医学</v>
      </c>
      <c r="I15" s="13" t="str">
        <f>"医师"</f>
        <v>医师</v>
      </c>
      <c r="J15" s="8"/>
    </row>
    <row r="16" spans="1:10" ht="30" customHeight="1">
      <c r="A16" s="17">
        <v>13</v>
      </c>
      <c r="B16" s="8" t="str">
        <f>"邢尹馨"</f>
        <v>邢尹馨</v>
      </c>
      <c r="C16" s="10" t="s">
        <v>20</v>
      </c>
      <c r="D16" s="8" t="str">
        <f t="shared" si="3"/>
        <v>女</v>
      </c>
      <c r="E16" s="9" t="str">
        <f>"1995-03-16"</f>
        <v>1995-03-16</v>
      </c>
      <c r="F16" s="9" t="str">
        <f t="shared" si="6"/>
        <v>本科</v>
      </c>
      <c r="G16" s="9" t="str">
        <f t="shared" si="7"/>
        <v>学士</v>
      </c>
      <c r="H16" s="9" t="str">
        <f>"临床医学"</f>
        <v>临床医学</v>
      </c>
      <c r="I16" s="13" t="s">
        <v>11</v>
      </c>
      <c r="J16" s="8"/>
    </row>
    <row r="17" spans="1:10" ht="30" customHeight="1">
      <c r="A17" s="17">
        <v>14</v>
      </c>
      <c r="B17" s="8" t="str">
        <f>"邢沛"</f>
        <v>邢沛</v>
      </c>
      <c r="C17" s="10" t="s">
        <v>20</v>
      </c>
      <c r="D17" s="8" t="str">
        <f>"男"</f>
        <v>男</v>
      </c>
      <c r="E17" s="9" t="str">
        <f>"1992-07-26"</f>
        <v>1992-07-26</v>
      </c>
      <c r="F17" s="9" t="str">
        <f t="shared" si="6"/>
        <v>本科</v>
      </c>
      <c r="G17" s="9" t="str">
        <f t="shared" si="7"/>
        <v>学士</v>
      </c>
      <c r="H17" s="9" t="str">
        <f>"临床医学"</f>
        <v>临床医学</v>
      </c>
      <c r="I17" s="13" t="s">
        <v>11</v>
      </c>
      <c r="J17" s="8"/>
    </row>
    <row r="18" spans="1:10" ht="30" customHeight="1">
      <c r="A18" s="17">
        <v>15</v>
      </c>
      <c r="B18" s="8" t="str">
        <f>"苏瑜"</f>
        <v>苏瑜</v>
      </c>
      <c r="C18" s="10" t="s">
        <v>21</v>
      </c>
      <c r="D18" s="8" t="str">
        <f>"女"</f>
        <v>女</v>
      </c>
      <c r="E18" s="9" t="str">
        <f>"1991-11-24"</f>
        <v>1991-11-24</v>
      </c>
      <c r="F18" s="9" t="str">
        <f t="shared" si="6"/>
        <v>本科</v>
      </c>
      <c r="G18" s="9" t="str">
        <f t="shared" si="7"/>
        <v>学士</v>
      </c>
      <c r="H18" s="9" t="str">
        <f>"口腔医学"</f>
        <v>口腔医学</v>
      </c>
      <c r="I18" s="13" t="str">
        <f>"医师"</f>
        <v>医师</v>
      </c>
      <c r="J18" s="8"/>
    </row>
    <row r="19" spans="1:10" ht="30" customHeight="1">
      <c r="A19" s="17">
        <v>16</v>
      </c>
      <c r="B19" s="8" t="str">
        <f>"李小婷"</f>
        <v>李小婷</v>
      </c>
      <c r="C19" s="10" t="s">
        <v>21</v>
      </c>
      <c r="D19" s="8" t="str">
        <f>"女"</f>
        <v>女</v>
      </c>
      <c r="E19" s="9" t="str">
        <f>"1994-10-24"</f>
        <v>1994-10-24</v>
      </c>
      <c r="F19" s="9" t="str">
        <f t="shared" si="6"/>
        <v>本科</v>
      </c>
      <c r="G19" s="9" t="str">
        <f t="shared" si="7"/>
        <v>学士</v>
      </c>
      <c r="H19" s="9" t="str">
        <f>"口腔专业"</f>
        <v>口腔专业</v>
      </c>
      <c r="I19" s="13" t="str">
        <f>"医师"</f>
        <v>医师</v>
      </c>
      <c r="J19" s="8"/>
    </row>
    <row r="20" spans="1:10" ht="30" customHeight="1">
      <c r="A20" s="17">
        <v>17</v>
      </c>
      <c r="B20" s="8" t="str">
        <f>"邢平珠"</f>
        <v>邢平珠</v>
      </c>
      <c r="C20" s="10" t="s">
        <v>25</v>
      </c>
      <c r="D20" s="8" t="str">
        <f>"女"</f>
        <v>女</v>
      </c>
      <c r="E20" s="9" t="str">
        <f>"1992-03-04"</f>
        <v>1992-03-04</v>
      </c>
      <c r="F20" s="9" t="str">
        <f t="shared" si="6"/>
        <v>本科</v>
      </c>
      <c r="G20" s="9" t="str">
        <f t="shared" si="7"/>
        <v>学士</v>
      </c>
      <c r="H20" s="9" t="str">
        <f>"药学"</f>
        <v>药学</v>
      </c>
      <c r="I20" s="13" t="str">
        <f>"药剂师"</f>
        <v>药剂师</v>
      </c>
      <c r="J20" s="8"/>
    </row>
    <row r="21" spans="1:10" ht="30" customHeight="1">
      <c r="A21" s="17">
        <v>18</v>
      </c>
      <c r="B21" s="8" t="str">
        <f>"符江莲"</f>
        <v>符江莲</v>
      </c>
      <c r="C21" s="9" t="s">
        <v>26</v>
      </c>
      <c r="D21" s="8" t="str">
        <f>"女"</f>
        <v>女</v>
      </c>
      <c r="E21" s="9" t="str">
        <f>"1993-04-05"</f>
        <v>1993-04-05</v>
      </c>
      <c r="F21" s="9" t="str">
        <f t="shared" si="6"/>
        <v>本科</v>
      </c>
      <c r="G21" s="9" t="str">
        <f t="shared" si="7"/>
        <v>学士</v>
      </c>
      <c r="H21" s="9" t="str">
        <f>"中药学"</f>
        <v>中药学</v>
      </c>
      <c r="I21" s="13" t="str">
        <f>"中药师"</f>
        <v>中药师</v>
      </c>
      <c r="J21" s="8"/>
    </row>
    <row r="22" spans="1:10" ht="30" customHeight="1">
      <c r="A22" s="17">
        <v>19</v>
      </c>
      <c r="B22" s="9" t="str">
        <f>"马亚磊"</f>
        <v>马亚磊</v>
      </c>
      <c r="C22" s="10" t="s">
        <v>35</v>
      </c>
      <c r="D22" s="9" t="str">
        <f>"男"</f>
        <v>男</v>
      </c>
      <c r="E22" s="9" t="str">
        <f>"1994-11-02"</f>
        <v>1994-11-02</v>
      </c>
      <c r="F22" s="9" t="str">
        <f aca="true" t="shared" si="8" ref="F22:F29">"本科"</f>
        <v>本科</v>
      </c>
      <c r="G22" s="9" t="str">
        <f t="shared" si="7"/>
        <v>学士</v>
      </c>
      <c r="H22" s="9" t="str">
        <f aca="true" t="shared" si="9" ref="H22:H29">"护理学"</f>
        <v>护理学</v>
      </c>
      <c r="I22" s="13" t="s">
        <v>36</v>
      </c>
      <c r="J22" s="8"/>
    </row>
    <row r="23" spans="1:10" ht="30" customHeight="1">
      <c r="A23" s="17">
        <v>20</v>
      </c>
      <c r="B23" s="9" t="str">
        <f>"林意春"</f>
        <v>林意春</v>
      </c>
      <c r="C23" s="10" t="s">
        <v>35</v>
      </c>
      <c r="D23" s="9" t="str">
        <f aca="true" t="shared" si="10" ref="D23:D43">"女"</f>
        <v>女</v>
      </c>
      <c r="E23" s="9" t="str">
        <f>"1998-02-12"</f>
        <v>1998-02-12</v>
      </c>
      <c r="F23" s="9" t="str">
        <f t="shared" si="8"/>
        <v>本科</v>
      </c>
      <c r="G23" s="9" t="str">
        <f t="shared" si="7"/>
        <v>学士</v>
      </c>
      <c r="H23" s="9" t="str">
        <f t="shared" si="9"/>
        <v>护理学</v>
      </c>
      <c r="I23" s="13" t="str">
        <f>"护士"</f>
        <v>护士</v>
      </c>
      <c r="J23" s="8"/>
    </row>
    <row r="24" spans="1:10" ht="30" customHeight="1">
      <c r="A24" s="17">
        <v>21</v>
      </c>
      <c r="B24" s="9" t="str">
        <f>"陈川唤"</f>
        <v>陈川唤</v>
      </c>
      <c r="C24" s="10" t="s">
        <v>35</v>
      </c>
      <c r="D24" s="9" t="str">
        <f t="shared" si="10"/>
        <v>女</v>
      </c>
      <c r="E24" s="9" t="str">
        <f>"1997-07-26"</f>
        <v>1997-07-26</v>
      </c>
      <c r="F24" s="9" t="str">
        <f>"本科"</f>
        <v>本科</v>
      </c>
      <c r="G24" s="9" t="str">
        <f t="shared" si="7"/>
        <v>学士</v>
      </c>
      <c r="H24" s="9" t="str">
        <f>"护理学"</f>
        <v>护理学</v>
      </c>
      <c r="I24" s="13" t="s">
        <v>37</v>
      </c>
      <c r="J24" s="8"/>
    </row>
    <row r="25" spans="1:10" ht="30" customHeight="1">
      <c r="A25" s="17">
        <v>22</v>
      </c>
      <c r="B25" s="17" t="str">
        <f>"万丽虹"</f>
        <v>万丽虹</v>
      </c>
      <c r="C25" s="18" t="s">
        <v>35</v>
      </c>
      <c r="D25" s="17" t="str">
        <f t="shared" si="10"/>
        <v>女</v>
      </c>
      <c r="E25" s="17" t="str">
        <f>"1996-01-20"</f>
        <v>1996-01-20</v>
      </c>
      <c r="F25" s="17" t="str">
        <f t="shared" si="8"/>
        <v>本科</v>
      </c>
      <c r="G25" s="17" t="str">
        <f t="shared" si="7"/>
        <v>学士</v>
      </c>
      <c r="H25" s="17" t="str">
        <f t="shared" si="9"/>
        <v>护理学</v>
      </c>
      <c r="I25" s="19" t="str">
        <f>"护士"</f>
        <v>护士</v>
      </c>
      <c r="J25" s="17"/>
    </row>
    <row r="26" spans="1:10" ht="30" customHeight="1">
      <c r="A26" s="17">
        <v>23</v>
      </c>
      <c r="B26" s="9" t="str">
        <f>"张家维"</f>
        <v>张家维</v>
      </c>
      <c r="C26" s="10" t="s">
        <v>35</v>
      </c>
      <c r="D26" s="9" t="str">
        <f t="shared" si="10"/>
        <v>女</v>
      </c>
      <c r="E26" s="9" t="str">
        <f>"1994-05-08"</f>
        <v>1994-05-08</v>
      </c>
      <c r="F26" s="9" t="str">
        <f t="shared" si="8"/>
        <v>本科</v>
      </c>
      <c r="G26" s="9" t="str">
        <f t="shared" si="7"/>
        <v>学士</v>
      </c>
      <c r="H26" s="9" t="str">
        <f t="shared" si="9"/>
        <v>护理学</v>
      </c>
      <c r="I26" s="13" t="s">
        <v>36</v>
      </c>
      <c r="J26" s="8"/>
    </row>
    <row r="27" spans="1:10" ht="30" customHeight="1">
      <c r="A27" s="17">
        <v>24</v>
      </c>
      <c r="B27" s="9" t="str">
        <f>"符子娜"</f>
        <v>符子娜</v>
      </c>
      <c r="C27" s="10" t="s">
        <v>35</v>
      </c>
      <c r="D27" s="9" t="str">
        <f t="shared" si="10"/>
        <v>女</v>
      </c>
      <c r="E27" s="9" t="str">
        <f>"1995-07-29"</f>
        <v>1995-07-29</v>
      </c>
      <c r="F27" s="9" t="str">
        <f t="shared" si="8"/>
        <v>本科</v>
      </c>
      <c r="G27" s="9" t="str">
        <f t="shared" si="7"/>
        <v>学士</v>
      </c>
      <c r="H27" s="9" t="str">
        <f t="shared" si="9"/>
        <v>护理学</v>
      </c>
      <c r="I27" s="13" t="str">
        <f>"护士"</f>
        <v>护士</v>
      </c>
      <c r="J27" s="8"/>
    </row>
    <row r="28" spans="1:10" ht="30" customHeight="1">
      <c r="A28" s="17">
        <v>25</v>
      </c>
      <c r="B28" s="9" t="str">
        <f>"孙少红"</f>
        <v>孙少红</v>
      </c>
      <c r="C28" s="10" t="s">
        <v>35</v>
      </c>
      <c r="D28" s="9" t="str">
        <f t="shared" si="10"/>
        <v>女</v>
      </c>
      <c r="E28" s="9" t="str">
        <f>"1996-01-14"</f>
        <v>1996-01-14</v>
      </c>
      <c r="F28" s="9" t="str">
        <f>"本科"</f>
        <v>本科</v>
      </c>
      <c r="G28" s="9" t="str">
        <f t="shared" si="7"/>
        <v>学士</v>
      </c>
      <c r="H28" s="9" t="str">
        <f>"护理学"</f>
        <v>护理学</v>
      </c>
      <c r="I28" s="13" t="str">
        <f>"护士"</f>
        <v>护士</v>
      </c>
      <c r="J28" s="8"/>
    </row>
    <row r="29" spans="1:10" ht="30" customHeight="1">
      <c r="A29" s="17">
        <v>26</v>
      </c>
      <c r="B29" s="9" t="str">
        <f>"孙文秀"</f>
        <v>孙文秀</v>
      </c>
      <c r="C29" s="10" t="s">
        <v>35</v>
      </c>
      <c r="D29" s="9" t="str">
        <f t="shared" si="10"/>
        <v>女</v>
      </c>
      <c r="E29" s="9" t="str">
        <f>"1995-12-11"</f>
        <v>1995-12-11</v>
      </c>
      <c r="F29" s="9" t="str">
        <f t="shared" si="8"/>
        <v>本科</v>
      </c>
      <c r="G29" s="9" t="str">
        <f>"无"</f>
        <v>无</v>
      </c>
      <c r="H29" s="9" t="str">
        <f t="shared" si="9"/>
        <v>护理学</v>
      </c>
      <c r="I29" s="13" t="str">
        <f>"护士"</f>
        <v>护士</v>
      </c>
      <c r="J29" s="8"/>
    </row>
    <row r="30" spans="1:10" ht="30" customHeight="1">
      <c r="A30" s="17">
        <v>27</v>
      </c>
      <c r="B30" s="17" t="str">
        <f>"袁碧卿"</f>
        <v>袁碧卿</v>
      </c>
      <c r="C30" s="18" t="s">
        <v>35</v>
      </c>
      <c r="D30" s="17" t="str">
        <f t="shared" si="10"/>
        <v>女</v>
      </c>
      <c r="E30" s="17" t="str">
        <f>"1991-12-10"</f>
        <v>1991-12-10</v>
      </c>
      <c r="F30" s="17" t="str">
        <f>"本科"</f>
        <v>本科</v>
      </c>
      <c r="G30" s="17" t="str">
        <f>"学士"</f>
        <v>学士</v>
      </c>
      <c r="H30" s="17" t="str">
        <f>"护理学"</f>
        <v>护理学</v>
      </c>
      <c r="I30" s="19" t="s">
        <v>36</v>
      </c>
      <c r="J30" s="17"/>
    </row>
    <row r="31" spans="1:10" ht="30" customHeight="1">
      <c r="A31" s="17">
        <v>28</v>
      </c>
      <c r="B31" s="9" t="str">
        <f>"刘欢"</f>
        <v>刘欢</v>
      </c>
      <c r="C31" s="10" t="s">
        <v>38</v>
      </c>
      <c r="D31" s="9" t="str">
        <f t="shared" si="10"/>
        <v>女</v>
      </c>
      <c r="E31" s="9" t="str">
        <f>"1993-12-26"</f>
        <v>1993-12-26</v>
      </c>
      <c r="F31" s="9" t="str">
        <f aca="true" t="shared" si="11" ref="F31:F42">"大专"</f>
        <v>大专</v>
      </c>
      <c r="G31" s="9" t="str">
        <f aca="true" t="shared" si="12" ref="G31:G42">"无"</f>
        <v>无</v>
      </c>
      <c r="H31" s="9" t="str">
        <f aca="true" t="shared" si="13" ref="H31:H42">"助产"</f>
        <v>助产</v>
      </c>
      <c r="I31" s="13" t="str">
        <f>"护理师"</f>
        <v>护理师</v>
      </c>
      <c r="J31" s="8"/>
    </row>
    <row r="32" spans="1:10" ht="30" customHeight="1">
      <c r="A32" s="17">
        <v>29</v>
      </c>
      <c r="B32" s="9" t="str">
        <f>"张倩柔"</f>
        <v>张倩柔</v>
      </c>
      <c r="C32" s="10" t="s">
        <v>38</v>
      </c>
      <c r="D32" s="9" t="str">
        <f t="shared" si="10"/>
        <v>女</v>
      </c>
      <c r="E32" s="9" t="str">
        <f>"1996-11-24"</f>
        <v>1996-11-24</v>
      </c>
      <c r="F32" s="9" t="str">
        <f t="shared" si="11"/>
        <v>大专</v>
      </c>
      <c r="G32" s="9" t="str">
        <f t="shared" si="12"/>
        <v>无</v>
      </c>
      <c r="H32" s="9" t="str">
        <f t="shared" si="13"/>
        <v>助产</v>
      </c>
      <c r="I32" s="13" t="str">
        <f aca="true" t="shared" si="14" ref="I32:I42">"护士"</f>
        <v>护士</v>
      </c>
      <c r="J32" s="8"/>
    </row>
    <row r="33" spans="1:10" ht="30" customHeight="1">
      <c r="A33" s="17">
        <v>30</v>
      </c>
      <c r="B33" s="9" t="str">
        <f>"陈欢女"</f>
        <v>陈欢女</v>
      </c>
      <c r="C33" s="10" t="s">
        <v>38</v>
      </c>
      <c r="D33" s="9" t="str">
        <f t="shared" si="10"/>
        <v>女</v>
      </c>
      <c r="E33" s="9" t="str">
        <f>"1996-11-06"</f>
        <v>1996-11-06</v>
      </c>
      <c r="F33" s="9" t="str">
        <f t="shared" si="11"/>
        <v>大专</v>
      </c>
      <c r="G33" s="9" t="str">
        <f t="shared" si="12"/>
        <v>无</v>
      </c>
      <c r="H33" s="9" t="str">
        <f t="shared" si="13"/>
        <v>助产</v>
      </c>
      <c r="I33" s="13" t="str">
        <f t="shared" si="14"/>
        <v>护士</v>
      </c>
      <c r="J33" s="8"/>
    </row>
    <row r="34" spans="1:10" ht="30" customHeight="1">
      <c r="A34" s="17">
        <v>31</v>
      </c>
      <c r="B34" s="9" t="str">
        <f>"杨雪"</f>
        <v>杨雪</v>
      </c>
      <c r="C34" s="10" t="s">
        <v>38</v>
      </c>
      <c r="D34" s="9" t="str">
        <f t="shared" si="10"/>
        <v>女</v>
      </c>
      <c r="E34" s="9" t="str">
        <f>"1993-12-10"</f>
        <v>1993-12-10</v>
      </c>
      <c r="F34" s="9" t="str">
        <f t="shared" si="11"/>
        <v>大专</v>
      </c>
      <c r="G34" s="9" t="str">
        <f t="shared" si="12"/>
        <v>无</v>
      </c>
      <c r="H34" s="9" t="str">
        <f t="shared" si="13"/>
        <v>助产</v>
      </c>
      <c r="I34" s="13" t="str">
        <f t="shared" si="14"/>
        <v>护士</v>
      </c>
      <c r="J34" s="8"/>
    </row>
    <row r="35" spans="1:10" ht="30" customHeight="1">
      <c r="A35" s="17">
        <v>32</v>
      </c>
      <c r="B35" s="9" t="str">
        <f>"梅丽峰"</f>
        <v>梅丽峰</v>
      </c>
      <c r="C35" s="10" t="s">
        <v>38</v>
      </c>
      <c r="D35" s="9" t="str">
        <f t="shared" si="10"/>
        <v>女</v>
      </c>
      <c r="E35" s="9" t="str">
        <f>"1997-02-06"</f>
        <v>1997-02-06</v>
      </c>
      <c r="F35" s="9" t="str">
        <f t="shared" si="11"/>
        <v>大专</v>
      </c>
      <c r="G35" s="9" t="str">
        <f t="shared" si="12"/>
        <v>无</v>
      </c>
      <c r="H35" s="9" t="str">
        <f t="shared" si="13"/>
        <v>助产</v>
      </c>
      <c r="I35" s="13" t="str">
        <f aca="true" t="shared" si="15" ref="I35:I41">"护士"</f>
        <v>护士</v>
      </c>
      <c r="J35" s="8"/>
    </row>
    <row r="36" spans="1:10" ht="30" customHeight="1">
      <c r="A36" s="17">
        <v>33</v>
      </c>
      <c r="B36" s="17" t="str">
        <f>"杨凌美"</f>
        <v>杨凌美</v>
      </c>
      <c r="C36" s="18" t="s">
        <v>38</v>
      </c>
      <c r="D36" s="17" t="str">
        <f t="shared" si="10"/>
        <v>女</v>
      </c>
      <c r="E36" s="17" t="str">
        <f>"1995-04-12"</f>
        <v>1995-04-12</v>
      </c>
      <c r="F36" s="17" t="str">
        <f t="shared" si="11"/>
        <v>大专</v>
      </c>
      <c r="G36" s="17" t="str">
        <f t="shared" si="12"/>
        <v>无</v>
      </c>
      <c r="H36" s="17" t="str">
        <f t="shared" si="13"/>
        <v>助产</v>
      </c>
      <c r="I36" s="19" t="str">
        <f t="shared" si="14"/>
        <v>护士</v>
      </c>
      <c r="J36" s="17"/>
    </row>
    <row r="37" spans="1:10" ht="30" customHeight="1">
      <c r="A37" s="17">
        <v>34</v>
      </c>
      <c r="B37" s="9" t="str">
        <f>"杨婷"</f>
        <v>杨婷</v>
      </c>
      <c r="C37" s="10" t="s">
        <v>38</v>
      </c>
      <c r="D37" s="9" t="str">
        <f t="shared" si="10"/>
        <v>女</v>
      </c>
      <c r="E37" s="9" t="str">
        <f>"1997-11-07"</f>
        <v>1997-11-07</v>
      </c>
      <c r="F37" s="9" t="str">
        <f t="shared" si="11"/>
        <v>大专</v>
      </c>
      <c r="G37" s="9" t="str">
        <f t="shared" si="12"/>
        <v>无</v>
      </c>
      <c r="H37" s="9" t="str">
        <f t="shared" si="13"/>
        <v>助产</v>
      </c>
      <c r="I37" s="13" t="str">
        <f t="shared" si="14"/>
        <v>护士</v>
      </c>
      <c r="J37" s="8"/>
    </row>
    <row r="38" spans="1:10" ht="30" customHeight="1">
      <c r="A38" s="17">
        <v>35</v>
      </c>
      <c r="B38" s="9" t="str">
        <f>"孙贻叶"</f>
        <v>孙贻叶</v>
      </c>
      <c r="C38" s="10" t="s">
        <v>38</v>
      </c>
      <c r="D38" s="9" t="str">
        <f t="shared" si="10"/>
        <v>女</v>
      </c>
      <c r="E38" s="9" t="str">
        <f>"1999-09-10"</f>
        <v>1999-09-10</v>
      </c>
      <c r="F38" s="9" t="str">
        <f t="shared" si="11"/>
        <v>大专</v>
      </c>
      <c r="G38" s="9" t="str">
        <f t="shared" si="12"/>
        <v>无</v>
      </c>
      <c r="H38" s="9" t="str">
        <f t="shared" si="13"/>
        <v>助产</v>
      </c>
      <c r="I38" s="13" t="str">
        <f t="shared" si="14"/>
        <v>护士</v>
      </c>
      <c r="J38" s="8"/>
    </row>
    <row r="39" spans="1:10" ht="30" customHeight="1">
      <c r="A39" s="17">
        <v>36</v>
      </c>
      <c r="B39" s="9" t="str">
        <f>"钟少珍"</f>
        <v>钟少珍</v>
      </c>
      <c r="C39" s="10" t="s">
        <v>38</v>
      </c>
      <c r="D39" s="9" t="str">
        <f t="shared" si="10"/>
        <v>女</v>
      </c>
      <c r="E39" s="9" t="str">
        <f>"1996-11-17"</f>
        <v>1996-11-17</v>
      </c>
      <c r="F39" s="9" t="str">
        <f>"大专"</f>
        <v>大专</v>
      </c>
      <c r="G39" s="9" t="str">
        <f>"无"</f>
        <v>无</v>
      </c>
      <c r="H39" s="9" t="str">
        <f>"助产"</f>
        <v>助产</v>
      </c>
      <c r="I39" s="13" t="str">
        <f t="shared" si="14"/>
        <v>护士</v>
      </c>
      <c r="J39" s="8"/>
    </row>
    <row r="40" spans="1:10" ht="30" customHeight="1">
      <c r="A40" s="17">
        <v>37</v>
      </c>
      <c r="B40" s="9" t="str">
        <f>"吴钟聘"</f>
        <v>吴钟聘</v>
      </c>
      <c r="C40" s="10" t="s">
        <v>38</v>
      </c>
      <c r="D40" s="9" t="str">
        <f t="shared" si="10"/>
        <v>女</v>
      </c>
      <c r="E40" s="9" t="str">
        <f>"1997-02-06"</f>
        <v>1997-02-06</v>
      </c>
      <c r="F40" s="9" t="str">
        <f t="shared" si="11"/>
        <v>大专</v>
      </c>
      <c r="G40" s="9" t="str">
        <f t="shared" si="12"/>
        <v>无</v>
      </c>
      <c r="H40" s="9" t="str">
        <f t="shared" si="13"/>
        <v>助产</v>
      </c>
      <c r="I40" s="13" t="str">
        <f t="shared" si="15"/>
        <v>护士</v>
      </c>
      <c r="J40" s="8"/>
    </row>
    <row r="41" spans="1:10" ht="30" customHeight="1">
      <c r="A41" s="17">
        <v>38</v>
      </c>
      <c r="B41" s="9" t="str">
        <f>"羊秀娥"</f>
        <v>羊秀娥</v>
      </c>
      <c r="C41" s="10" t="s">
        <v>38</v>
      </c>
      <c r="D41" s="9" t="str">
        <f t="shared" si="10"/>
        <v>女</v>
      </c>
      <c r="E41" s="9" t="str">
        <f>"1994-06-04"</f>
        <v>1994-06-04</v>
      </c>
      <c r="F41" s="9" t="str">
        <f t="shared" si="11"/>
        <v>大专</v>
      </c>
      <c r="G41" s="9" t="str">
        <f t="shared" si="12"/>
        <v>无</v>
      </c>
      <c r="H41" s="9" t="str">
        <f t="shared" si="13"/>
        <v>助产</v>
      </c>
      <c r="I41" s="13" t="str">
        <f t="shared" si="15"/>
        <v>护士</v>
      </c>
      <c r="J41" s="8"/>
    </row>
    <row r="42" spans="1:10" ht="30" customHeight="1">
      <c r="A42" s="17">
        <v>39</v>
      </c>
      <c r="B42" s="17" t="str">
        <f>"严春苗"</f>
        <v>严春苗</v>
      </c>
      <c r="C42" s="18" t="s">
        <v>38</v>
      </c>
      <c r="D42" s="17" t="str">
        <f t="shared" si="10"/>
        <v>女</v>
      </c>
      <c r="E42" s="17" t="str">
        <f>"1999-04-01"</f>
        <v>1999-04-01</v>
      </c>
      <c r="F42" s="17" t="str">
        <f t="shared" si="11"/>
        <v>大专</v>
      </c>
      <c r="G42" s="17" t="str">
        <f t="shared" si="12"/>
        <v>无</v>
      </c>
      <c r="H42" s="17" t="str">
        <f t="shared" si="13"/>
        <v>助产</v>
      </c>
      <c r="I42" s="19" t="str">
        <f t="shared" si="14"/>
        <v>护士</v>
      </c>
      <c r="J42" s="17"/>
    </row>
    <row r="43" spans="1:10" ht="33" customHeight="1">
      <c r="A43" s="17">
        <v>40</v>
      </c>
      <c r="B43" s="9" t="str">
        <f>"林珏"</f>
        <v>林珏</v>
      </c>
      <c r="C43" s="10" t="s">
        <v>30</v>
      </c>
      <c r="D43" s="9" t="str">
        <f t="shared" si="10"/>
        <v>女</v>
      </c>
      <c r="E43" s="9" t="str">
        <f>"1991-05-20"</f>
        <v>1991-05-20</v>
      </c>
      <c r="F43" s="9" t="str">
        <f aca="true" t="shared" si="16" ref="F43:F60">"本科"</f>
        <v>本科</v>
      </c>
      <c r="G43" s="9" t="str">
        <f>"学士"</f>
        <v>学士</v>
      </c>
      <c r="H43" s="9" t="str">
        <f>"临床医学"</f>
        <v>临床医学</v>
      </c>
      <c r="I43" s="13" t="str">
        <f>"医师"</f>
        <v>医师</v>
      </c>
      <c r="J43" s="8"/>
    </row>
    <row r="44" spans="1:10" ht="33" customHeight="1">
      <c r="A44" s="17">
        <v>41</v>
      </c>
      <c r="B44" s="9" t="str">
        <f>"黄志才"</f>
        <v>黄志才</v>
      </c>
      <c r="C44" s="10" t="s">
        <v>30</v>
      </c>
      <c r="D44" s="9" t="str">
        <f>"男"</f>
        <v>男</v>
      </c>
      <c r="E44" s="9" t="str">
        <f>"1982-07-27"</f>
        <v>1982-07-27</v>
      </c>
      <c r="F44" s="9" t="str">
        <f t="shared" si="16"/>
        <v>本科</v>
      </c>
      <c r="G44" s="9" t="str">
        <f>"无"</f>
        <v>无</v>
      </c>
      <c r="H44" s="9" t="str">
        <f>"临床医学"</f>
        <v>临床医学</v>
      </c>
      <c r="I44" s="13" t="str">
        <f>"主治医师"</f>
        <v>主治医师</v>
      </c>
      <c r="J44" s="8"/>
    </row>
    <row r="45" spans="1:10" ht="30" customHeight="1">
      <c r="A45" s="17">
        <v>42</v>
      </c>
      <c r="B45" s="9" t="str">
        <f>"谢昌鸿"</f>
        <v>谢昌鸿</v>
      </c>
      <c r="C45" s="10" t="s">
        <v>27</v>
      </c>
      <c r="D45" s="9" t="str">
        <f>"男"</f>
        <v>男</v>
      </c>
      <c r="E45" s="9" t="str">
        <f>"1990-03-02"</f>
        <v>1990-03-02</v>
      </c>
      <c r="F45" s="9" t="str">
        <f t="shared" si="16"/>
        <v>本科</v>
      </c>
      <c r="G45" s="9" t="str">
        <f aca="true" t="shared" si="17" ref="G45:G50">"学士"</f>
        <v>学士</v>
      </c>
      <c r="H45" s="9" t="str">
        <f>"医学检验"</f>
        <v>医学检验</v>
      </c>
      <c r="I45" s="21" t="s">
        <v>29</v>
      </c>
      <c r="J45" s="8"/>
    </row>
    <row r="46" spans="1:10" ht="30" customHeight="1">
      <c r="A46" s="17">
        <v>43</v>
      </c>
      <c r="B46" s="9" t="str">
        <f>"吴秋霞"</f>
        <v>吴秋霞</v>
      </c>
      <c r="C46" s="10" t="s">
        <v>27</v>
      </c>
      <c r="D46" s="9" t="str">
        <f>"女"</f>
        <v>女</v>
      </c>
      <c r="E46" s="9" t="str">
        <f>"1997-08-27"</f>
        <v>1997-08-27</v>
      </c>
      <c r="F46" s="9" t="str">
        <f t="shared" si="16"/>
        <v>本科</v>
      </c>
      <c r="G46" s="9" t="str">
        <f t="shared" si="17"/>
        <v>学士</v>
      </c>
      <c r="H46" s="9" t="str">
        <f>"医学检验技术"</f>
        <v>医学检验技术</v>
      </c>
      <c r="I46" s="13" t="s">
        <v>28</v>
      </c>
      <c r="J46" s="8"/>
    </row>
    <row r="47" spans="1:10" ht="33.75" customHeight="1">
      <c r="A47" s="17">
        <v>44</v>
      </c>
      <c r="B47" s="9" t="str">
        <f>"吴俞莹"</f>
        <v>吴俞莹</v>
      </c>
      <c r="C47" s="10" t="s">
        <v>47</v>
      </c>
      <c r="D47" s="9" t="str">
        <f>"女"</f>
        <v>女</v>
      </c>
      <c r="E47" s="9" t="str">
        <f>"1997-04-17"</f>
        <v>1997-04-17</v>
      </c>
      <c r="F47" s="9" t="str">
        <f t="shared" si="16"/>
        <v>本科</v>
      </c>
      <c r="G47" s="9" t="str">
        <f t="shared" si="17"/>
        <v>学士</v>
      </c>
      <c r="H47" s="9" t="str">
        <f>"医学检验技术"</f>
        <v>医学检验技术</v>
      </c>
      <c r="I47" s="13" t="str">
        <f>"检验技师"</f>
        <v>检验技师</v>
      </c>
      <c r="J47" s="8"/>
    </row>
    <row r="48" spans="1:10" ht="33.75" customHeight="1">
      <c r="A48" s="17">
        <v>45</v>
      </c>
      <c r="B48" s="9" t="str">
        <f>"邢增文"</f>
        <v>邢增文</v>
      </c>
      <c r="C48" s="16" t="s">
        <v>32</v>
      </c>
      <c r="D48" s="9" t="str">
        <f>"男"</f>
        <v>男</v>
      </c>
      <c r="E48" s="9" t="str">
        <f>"1989-09-08"</f>
        <v>1989-09-08</v>
      </c>
      <c r="F48" s="9" t="str">
        <f t="shared" si="16"/>
        <v>本科</v>
      </c>
      <c r="G48" s="9" t="str">
        <f t="shared" si="17"/>
        <v>学士</v>
      </c>
      <c r="H48" s="9" t="str">
        <f>"医学检验"</f>
        <v>医学检验</v>
      </c>
      <c r="I48" s="21" t="s">
        <v>29</v>
      </c>
      <c r="J48" s="8"/>
    </row>
    <row r="49" spans="1:10" ht="33.75" customHeight="1">
      <c r="A49" s="17">
        <v>46</v>
      </c>
      <c r="B49" s="9" t="str">
        <f>"林军"</f>
        <v>林军</v>
      </c>
      <c r="C49" s="16" t="s">
        <v>32</v>
      </c>
      <c r="D49" s="9" t="str">
        <f>"男"</f>
        <v>男</v>
      </c>
      <c r="E49" s="9" t="str">
        <f>"1989-09-05"</f>
        <v>1989-09-05</v>
      </c>
      <c r="F49" s="9" t="str">
        <f t="shared" si="16"/>
        <v>本科</v>
      </c>
      <c r="G49" s="9" t="str">
        <f t="shared" si="17"/>
        <v>学士</v>
      </c>
      <c r="H49" s="9" t="str">
        <f>"生物技术"</f>
        <v>生物技术</v>
      </c>
      <c r="I49" s="21" t="s">
        <v>33</v>
      </c>
      <c r="J49" s="8"/>
    </row>
    <row r="50" spans="1:10" ht="33.75" customHeight="1">
      <c r="A50" s="17">
        <v>47</v>
      </c>
      <c r="B50" s="9" t="str">
        <f>"郑娇钻"</f>
        <v>郑娇钻</v>
      </c>
      <c r="C50" s="16" t="s">
        <v>34</v>
      </c>
      <c r="D50" s="9" t="str">
        <f>"女"</f>
        <v>女</v>
      </c>
      <c r="E50" s="9" t="str">
        <f>"1988-12-16"</f>
        <v>1988-12-16</v>
      </c>
      <c r="F50" s="9" t="str">
        <f t="shared" si="16"/>
        <v>本科</v>
      </c>
      <c r="G50" s="9" t="str">
        <f t="shared" si="17"/>
        <v>学士</v>
      </c>
      <c r="H50" s="9" t="str">
        <f>"生物技术"</f>
        <v>生物技术</v>
      </c>
      <c r="I50" s="13" t="s">
        <v>28</v>
      </c>
      <c r="J50" s="8"/>
    </row>
    <row r="51" spans="1:10" ht="30" customHeight="1">
      <c r="A51" s="17">
        <v>48</v>
      </c>
      <c r="B51" s="9" t="str">
        <f>"王齐"</f>
        <v>王齐</v>
      </c>
      <c r="C51" s="10" t="s">
        <v>40</v>
      </c>
      <c r="D51" s="9" t="str">
        <f>"男"</f>
        <v>男</v>
      </c>
      <c r="E51" s="9" t="str">
        <f>"1994-11-01"</f>
        <v>1994-11-01</v>
      </c>
      <c r="F51" s="9" t="str">
        <f t="shared" si="16"/>
        <v>本科</v>
      </c>
      <c r="G51" s="9" t="str">
        <f>"无"</f>
        <v>无</v>
      </c>
      <c r="H51" s="11" t="str">
        <f>"劳动与社会保障 医疗保险方向"</f>
        <v>劳动与社会保障 医疗保险方向</v>
      </c>
      <c r="I51" s="14" t="str">
        <f>"病案信息技术（师）"</f>
        <v>病案信息技术（师）</v>
      </c>
      <c r="J51" s="8"/>
    </row>
    <row r="52" spans="1:10" ht="30" customHeight="1">
      <c r="A52" s="17">
        <v>49</v>
      </c>
      <c r="B52" s="9" t="str">
        <f>"苏琳洁"</f>
        <v>苏琳洁</v>
      </c>
      <c r="C52" s="10" t="s">
        <v>42</v>
      </c>
      <c r="D52" s="9" t="str">
        <f>"女"</f>
        <v>女</v>
      </c>
      <c r="E52" s="9" t="str">
        <f>"1991-10-10"</f>
        <v>1991-10-10</v>
      </c>
      <c r="F52" s="9" t="str">
        <f t="shared" si="16"/>
        <v>本科</v>
      </c>
      <c r="G52" s="9" t="str">
        <f>"学士"</f>
        <v>学士</v>
      </c>
      <c r="H52" s="9" t="str">
        <f>"财务管理"</f>
        <v>财务管理</v>
      </c>
      <c r="I52" s="14" t="str">
        <f>"中级会计师"</f>
        <v>中级会计师</v>
      </c>
      <c r="J52" s="8"/>
    </row>
    <row r="53" spans="1:10" ht="30" customHeight="1">
      <c r="A53" s="17">
        <v>50</v>
      </c>
      <c r="B53" s="9" t="str">
        <f>"黄炽川"</f>
        <v>黄炽川</v>
      </c>
      <c r="C53" s="18" t="s">
        <v>45</v>
      </c>
      <c r="D53" s="9" t="str">
        <f>"女"</f>
        <v>女</v>
      </c>
      <c r="E53" s="9" t="str">
        <f>"1995-08-12"</f>
        <v>1995-08-12</v>
      </c>
      <c r="F53" s="9" t="str">
        <f t="shared" si="16"/>
        <v>本科</v>
      </c>
      <c r="G53" s="9" t="str">
        <f>"学士"</f>
        <v>学士</v>
      </c>
      <c r="H53" s="9" t="str">
        <f>"土木工程"</f>
        <v>土木工程</v>
      </c>
      <c r="I53" s="14" t="str">
        <f>"助理工程师"</f>
        <v>助理工程师</v>
      </c>
      <c r="J53" s="8"/>
    </row>
    <row r="54" spans="1:10" ht="34.5" customHeight="1">
      <c r="A54" s="17">
        <v>51</v>
      </c>
      <c r="B54" s="8" t="str">
        <f>"蔡青桐"</f>
        <v>蔡青桐</v>
      </c>
      <c r="C54" s="10" t="s">
        <v>48</v>
      </c>
      <c r="D54" s="8" t="str">
        <f>"女"</f>
        <v>女</v>
      </c>
      <c r="E54" s="9" t="str">
        <f>"1993-12-15"</f>
        <v>1993-12-15</v>
      </c>
      <c r="F54" s="9" t="str">
        <f t="shared" si="16"/>
        <v>本科</v>
      </c>
      <c r="G54" s="9" t="str">
        <f>"学士"</f>
        <v>学士</v>
      </c>
      <c r="H54" s="9" t="str">
        <f>"临床医学"</f>
        <v>临床医学</v>
      </c>
      <c r="I54" s="13" t="str">
        <f>"医师"</f>
        <v>医师</v>
      </c>
      <c r="J54" s="8"/>
    </row>
    <row r="55" spans="1:10" ht="34.5" customHeight="1">
      <c r="A55" s="17">
        <v>52</v>
      </c>
      <c r="B55" s="8" t="str">
        <f>"林野"</f>
        <v>林野</v>
      </c>
      <c r="C55" s="20" t="s">
        <v>48</v>
      </c>
      <c r="D55" s="8" t="str">
        <f>"女"</f>
        <v>女</v>
      </c>
      <c r="E55" s="9" t="str">
        <f>"1994-07-07"</f>
        <v>1994-07-07</v>
      </c>
      <c r="F55" s="9" t="str">
        <f t="shared" si="16"/>
        <v>本科</v>
      </c>
      <c r="G55" s="9" t="str">
        <f>"学士"</f>
        <v>学士</v>
      </c>
      <c r="H55" s="9" t="str">
        <f>"针灸推拿学"</f>
        <v>针灸推拿学</v>
      </c>
      <c r="I55" s="13" t="str">
        <f>"医师"</f>
        <v>医师</v>
      </c>
      <c r="J55" s="8"/>
    </row>
    <row r="56" spans="1:10" ht="30" customHeight="1">
      <c r="A56" s="17">
        <v>53</v>
      </c>
      <c r="B56" s="8" t="str">
        <f>"庄清江"</f>
        <v>庄清江</v>
      </c>
      <c r="C56" s="10" t="s">
        <v>15</v>
      </c>
      <c r="D56" s="8" t="str">
        <f>"男"</f>
        <v>男</v>
      </c>
      <c r="E56" s="9" t="str">
        <f>"1995-10-13"</f>
        <v>1995-10-13</v>
      </c>
      <c r="F56" s="9" t="str">
        <f t="shared" si="16"/>
        <v>本科</v>
      </c>
      <c r="G56" s="9" t="str">
        <f>"无"</f>
        <v>无</v>
      </c>
      <c r="H56" s="9" t="str">
        <f>"康复治疗学"</f>
        <v>康复治疗学</v>
      </c>
      <c r="I56" s="13" t="str">
        <f>"无"</f>
        <v>无</v>
      </c>
      <c r="J56" s="8"/>
    </row>
    <row r="57" spans="1:10" ht="30" customHeight="1">
      <c r="A57" s="17">
        <v>54</v>
      </c>
      <c r="B57" s="8" t="str">
        <f>"蔡燕芝"</f>
        <v>蔡燕芝</v>
      </c>
      <c r="C57" s="10" t="s">
        <v>15</v>
      </c>
      <c r="D57" s="8" t="str">
        <f>"女"</f>
        <v>女</v>
      </c>
      <c r="E57" s="9" t="str">
        <f>"1996-11-04"</f>
        <v>1996-11-04</v>
      </c>
      <c r="F57" s="9" t="str">
        <f t="shared" si="16"/>
        <v>本科</v>
      </c>
      <c r="G57" s="9" t="str">
        <f>"学士"</f>
        <v>学士</v>
      </c>
      <c r="H57" s="9" t="str">
        <f>"康复治疗学"</f>
        <v>康复治疗学</v>
      </c>
      <c r="I57" s="13" t="str">
        <f>"康复技师"</f>
        <v>康复技师</v>
      </c>
      <c r="J57" s="8"/>
    </row>
    <row r="58" spans="1:10" ht="30" customHeight="1">
      <c r="A58" s="17">
        <v>55</v>
      </c>
      <c r="B58" s="8" t="str">
        <f>"陈丽红"</f>
        <v>陈丽红</v>
      </c>
      <c r="C58" s="10" t="s">
        <v>15</v>
      </c>
      <c r="D58" s="8" t="str">
        <f>"女"</f>
        <v>女</v>
      </c>
      <c r="E58" s="9" t="str">
        <f>"1995-07-15"</f>
        <v>1995-07-15</v>
      </c>
      <c r="F58" s="9" t="str">
        <f t="shared" si="16"/>
        <v>本科</v>
      </c>
      <c r="G58" s="9" t="str">
        <f>"学士"</f>
        <v>学士</v>
      </c>
      <c r="H58" s="9" t="str">
        <f>"康复治疗学"</f>
        <v>康复治疗学</v>
      </c>
      <c r="I58" s="13" t="str">
        <f>"无"</f>
        <v>无</v>
      </c>
      <c r="J58" s="8"/>
    </row>
    <row r="59" spans="1:10" ht="30" customHeight="1">
      <c r="A59" s="17">
        <v>56</v>
      </c>
      <c r="B59" s="8" t="str">
        <f>"符策渠"</f>
        <v>符策渠</v>
      </c>
      <c r="C59" s="10" t="s">
        <v>15</v>
      </c>
      <c r="D59" s="8" t="str">
        <f>"男"</f>
        <v>男</v>
      </c>
      <c r="E59" s="9" t="str">
        <f>"1995-03-13"</f>
        <v>1995-03-13</v>
      </c>
      <c r="F59" s="9" t="str">
        <f t="shared" si="16"/>
        <v>本科</v>
      </c>
      <c r="G59" s="9" t="str">
        <f>"学士"</f>
        <v>学士</v>
      </c>
      <c r="H59" s="9" t="str">
        <f>"康复治疗学"</f>
        <v>康复治疗学</v>
      </c>
      <c r="I59" s="13" t="str">
        <f>"无"</f>
        <v>无</v>
      </c>
      <c r="J59" s="8"/>
    </row>
    <row r="60" spans="1:10" ht="30" customHeight="1">
      <c r="A60" s="17">
        <v>57</v>
      </c>
      <c r="B60" s="8" t="str">
        <f>"王珏"</f>
        <v>王珏</v>
      </c>
      <c r="C60" s="10" t="s">
        <v>15</v>
      </c>
      <c r="D60" s="8" t="str">
        <f>"女"</f>
        <v>女</v>
      </c>
      <c r="E60" s="9" t="str">
        <f>"1993-04-10"</f>
        <v>1993-04-10</v>
      </c>
      <c r="F60" s="9" t="str">
        <f t="shared" si="16"/>
        <v>本科</v>
      </c>
      <c r="G60" s="9" t="str">
        <f>"学士"</f>
        <v>学士</v>
      </c>
      <c r="H60" s="9" t="str">
        <f>"康复治疗学"</f>
        <v>康复治疗学</v>
      </c>
      <c r="I60" s="13" t="str">
        <f>"康复技师"</f>
        <v>康复技师</v>
      </c>
      <c r="J60" s="8"/>
    </row>
    <row r="61" spans="1:10" ht="30" customHeight="1">
      <c r="A61" s="17">
        <v>58</v>
      </c>
      <c r="B61" s="8" t="str">
        <f>"朱彬"</f>
        <v>朱彬</v>
      </c>
      <c r="C61" s="10" t="s">
        <v>15</v>
      </c>
      <c r="D61" s="8" t="str">
        <f>"男"</f>
        <v>男</v>
      </c>
      <c r="E61" s="9" t="str">
        <f>"1992-11-16"</f>
        <v>1992-11-16</v>
      </c>
      <c r="F61" s="9" t="str">
        <f>"硕士研究生"</f>
        <v>硕士研究生</v>
      </c>
      <c r="G61" s="9" t="str">
        <f>"硕士"</f>
        <v>硕士</v>
      </c>
      <c r="H61" s="9" t="str">
        <f>"中医内科学"</f>
        <v>中医内科学</v>
      </c>
      <c r="I61" s="13" t="s">
        <v>16</v>
      </c>
      <c r="J61" s="8"/>
    </row>
    <row r="62" spans="1:10" ht="30" customHeight="1">
      <c r="A62" s="17">
        <v>59</v>
      </c>
      <c r="B62" s="8" t="str">
        <f>"李珍慧"</f>
        <v>李珍慧</v>
      </c>
      <c r="C62" s="10" t="s">
        <v>17</v>
      </c>
      <c r="D62" s="8" t="str">
        <f aca="true" t="shared" si="18" ref="D62:D67">"女"</f>
        <v>女</v>
      </c>
      <c r="E62" s="9" t="str">
        <f>"1996-02-10"</f>
        <v>1996-02-10</v>
      </c>
      <c r="F62" s="9" t="str">
        <f aca="true" t="shared" si="19" ref="F62:F82">"本科"</f>
        <v>本科</v>
      </c>
      <c r="G62" s="9" t="str">
        <f>"学士"</f>
        <v>学士</v>
      </c>
      <c r="H62" s="9" t="str">
        <f>"康复治疗学"</f>
        <v>康复治疗学</v>
      </c>
      <c r="I62" s="13" t="str">
        <f>"无"</f>
        <v>无</v>
      </c>
      <c r="J62" s="8"/>
    </row>
    <row r="63" spans="1:10" ht="30" customHeight="1">
      <c r="A63" s="17">
        <v>60</v>
      </c>
      <c r="B63" s="8" t="str">
        <f>"秦少雅"</f>
        <v>秦少雅</v>
      </c>
      <c r="C63" s="10" t="s">
        <v>17</v>
      </c>
      <c r="D63" s="8" t="str">
        <f t="shared" si="18"/>
        <v>女</v>
      </c>
      <c r="E63" s="9" t="str">
        <f>"1993-09-08"</f>
        <v>1993-09-08</v>
      </c>
      <c r="F63" s="9" t="str">
        <f t="shared" si="19"/>
        <v>本科</v>
      </c>
      <c r="G63" s="9" t="str">
        <f>"学士"</f>
        <v>学士</v>
      </c>
      <c r="H63" s="9" t="str">
        <f>"康复治疗学"</f>
        <v>康复治疗学</v>
      </c>
      <c r="I63" s="13" t="s">
        <v>16</v>
      </c>
      <c r="J63" s="8"/>
    </row>
    <row r="64" spans="1:10" ht="30" customHeight="1">
      <c r="A64" s="17">
        <v>61</v>
      </c>
      <c r="B64" s="8" t="str">
        <f>"赵婧娴"</f>
        <v>赵婧娴</v>
      </c>
      <c r="C64" s="10" t="s">
        <v>17</v>
      </c>
      <c r="D64" s="8" t="str">
        <f t="shared" si="18"/>
        <v>女</v>
      </c>
      <c r="E64" s="9" t="str">
        <f>"1990-08-13"</f>
        <v>1990-08-13</v>
      </c>
      <c r="F64" s="9" t="str">
        <f t="shared" si="19"/>
        <v>本科</v>
      </c>
      <c r="G64" s="9" t="str">
        <f>"无"</f>
        <v>无</v>
      </c>
      <c r="H64" s="11" t="str">
        <f>"中西医临床医学"</f>
        <v>中西医临床医学</v>
      </c>
      <c r="I64" s="13" t="s">
        <v>11</v>
      </c>
      <c r="J64" s="8"/>
    </row>
    <row r="65" spans="1:10" ht="30" customHeight="1">
      <c r="A65" s="17">
        <v>62</v>
      </c>
      <c r="B65" s="8" t="str">
        <f>"吴永浪"</f>
        <v>吴永浪</v>
      </c>
      <c r="C65" s="10" t="s">
        <v>17</v>
      </c>
      <c r="D65" s="8" t="str">
        <f t="shared" si="18"/>
        <v>女</v>
      </c>
      <c r="E65" s="9" t="str">
        <f>"1993-04-06"</f>
        <v>1993-04-06</v>
      </c>
      <c r="F65" s="9" t="str">
        <f t="shared" si="19"/>
        <v>本科</v>
      </c>
      <c r="G65" s="9" t="str">
        <f>"学士"</f>
        <v>学士</v>
      </c>
      <c r="H65" s="11" t="str">
        <f>"中西医临床医学"</f>
        <v>中西医临床医学</v>
      </c>
      <c r="I65" s="13" t="str">
        <f>"医师"</f>
        <v>医师</v>
      </c>
      <c r="J65" s="8"/>
    </row>
    <row r="66" spans="1:10" ht="30" customHeight="1">
      <c r="A66" s="17">
        <v>63</v>
      </c>
      <c r="B66" s="8" t="str">
        <f>"陈偲嘉"</f>
        <v>陈偲嘉</v>
      </c>
      <c r="C66" s="10" t="s">
        <v>17</v>
      </c>
      <c r="D66" s="8" t="str">
        <f t="shared" si="18"/>
        <v>女</v>
      </c>
      <c r="E66" s="9" t="str">
        <f>"1998-02-10"</f>
        <v>1998-02-10</v>
      </c>
      <c r="F66" s="9" t="str">
        <f t="shared" si="19"/>
        <v>本科</v>
      </c>
      <c r="G66" s="9" t="str">
        <f>"无"</f>
        <v>无</v>
      </c>
      <c r="H66" s="11" t="str">
        <f>"康复治疗学"</f>
        <v>康复治疗学</v>
      </c>
      <c r="I66" s="13" t="str">
        <f>"无"</f>
        <v>无</v>
      </c>
      <c r="J66" s="8"/>
    </row>
    <row r="67" spans="1:10" ht="30" customHeight="1">
      <c r="A67" s="17">
        <v>64</v>
      </c>
      <c r="B67" s="8" t="str">
        <f>"吴红三"</f>
        <v>吴红三</v>
      </c>
      <c r="C67" s="10" t="s">
        <v>17</v>
      </c>
      <c r="D67" s="8" t="str">
        <f t="shared" si="18"/>
        <v>女</v>
      </c>
      <c r="E67" s="9" t="str">
        <f>"1990-03-13"</f>
        <v>1990-03-13</v>
      </c>
      <c r="F67" s="9" t="str">
        <f t="shared" si="19"/>
        <v>本科</v>
      </c>
      <c r="G67" s="9" t="str">
        <f>"学士"</f>
        <v>学士</v>
      </c>
      <c r="H67" s="11" t="str">
        <f>"中西医临床医学"</f>
        <v>中西医临床医学</v>
      </c>
      <c r="I67" s="13" t="s">
        <v>11</v>
      </c>
      <c r="J67" s="8"/>
    </row>
    <row r="68" spans="1:10" ht="30" customHeight="1">
      <c r="A68" s="17">
        <v>65</v>
      </c>
      <c r="B68" s="8" t="str">
        <f>"王皎旭"</f>
        <v>王皎旭</v>
      </c>
      <c r="C68" s="10" t="s">
        <v>17</v>
      </c>
      <c r="D68" s="8" t="str">
        <f>"男"</f>
        <v>男</v>
      </c>
      <c r="E68" s="9" t="str">
        <f>"1995-07-19"</f>
        <v>1995-07-19</v>
      </c>
      <c r="F68" s="9" t="str">
        <f t="shared" si="19"/>
        <v>本科</v>
      </c>
      <c r="G68" s="9" t="str">
        <f>"无"</f>
        <v>无</v>
      </c>
      <c r="H68" s="9" t="str">
        <f>"康复治疗学"</f>
        <v>康复治疗学</v>
      </c>
      <c r="I68" s="13" t="s">
        <v>16</v>
      </c>
      <c r="J68" s="8"/>
    </row>
    <row r="69" spans="1:10" ht="30" customHeight="1">
      <c r="A69" s="17">
        <v>66</v>
      </c>
      <c r="B69" s="8" t="str">
        <f>"云蕾"</f>
        <v>云蕾</v>
      </c>
      <c r="C69" s="10" t="s">
        <v>17</v>
      </c>
      <c r="D69" s="8" t="str">
        <f>"女"</f>
        <v>女</v>
      </c>
      <c r="E69" s="9" t="str">
        <f>"1993-10-24"</f>
        <v>1993-10-24</v>
      </c>
      <c r="F69" s="9" t="str">
        <f t="shared" si="19"/>
        <v>本科</v>
      </c>
      <c r="G69" s="9" t="str">
        <f aca="true" t="shared" si="20" ref="G69:G78">"学士"</f>
        <v>学士</v>
      </c>
      <c r="H69" s="11" t="str">
        <f>"中西医临床医学"</f>
        <v>中西医临床医学</v>
      </c>
      <c r="I69" s="13" t="s">
        <v>18</v>
      </c>
      <c r="J69" s="8"/>
    </row>
    <row r="70" spans="1:10" ht="30" customHeight="1">
      <c r="A70" s="17">
        <v>67</v>
      </c>
      <c r="B70" s="8" t="str">
        <f>"陈增雪"</f>
        <v>陈增雪</v>
      </c>
      <c r="C70" s="10" t="s">
        <v>17</v>
      </c>
      <c r="D70" s="8" t="str">
        <f>"女"</f>
        <v>女</v>
      </c>
      <c r="E70" s="9" t="str">
        <f>"1998-03-01"</f>
        <v>1998-03-01</v>
      </c>
      <c r="F70" s="9" t="str">
        <f t="shared" si="19"/>
        <v>本科</v>
      </c>
      <c r="G70" s="9" t="str">
        <f t="shared" si="20"/>
        <v>学士</v>
      </c>
      <c r="H70" s="9" t="str">
        <f>"康复治疗学"</f>
        <v>康复治疗学</v>
      </c>
      <c r="I70" s="13" t="str">
        <f>"无"</f>
        <v>无</v>
      </c>
      <c r="J70" s="8"/>
    </row>
    <row r="71" spans="1:10" ht="30" customHeight="1">
      <c r="A71" s="17">
        <v>68</v>
      </c>
      <c r="B71" s="8" t="str">
        <f>"李琳芳"</f>
        <v>李琳芳</v>
      </c>
      <c r="C71" s="10" t="s">
        <v>19</v>
      </c>
      <c r="D71" s="8" t="str">
        <f>"女"</f>
        <v>女</v>
      </c>
      <c r="E71" s="9" t="str">
        <f>"1992-10-03"</f>
        <v>1992-10-03</v>
      </c>
      <c r="F71" s="9" t="str">
        <f aca="true" t="shared" si="21" ref="F71:F78">"本科"</f>
        <v>本科</v>
      </c>
      <c r="G71" s="9" t="str">
        <f t="shared" si="20"/>
        <v>学士</v>
      </c>
      <c r="H71" s="9" t="str">
        <f>"应用心理学"</f>
        <v>应用心理学</v>
      </c>
      <c r="I71" s="13" t="str">
        <f>"无"</f>
        <v>无</v>
      </c>
      <c r="J71" s="8"/>
    </row>
    <row r="72" spans="1:10" ht="30" customHeight="1">
      <c r="A72" s="17">
        <v>69</v>
      </c>
      <c r="B72" s="8" t="str">
        <f>"周昕雨"</f>
        <v>周昕雨</v>
      </c>
      <c r="C72" s="10" t="s">
        <v>19</v>
      </c>
      <c r="D72" s="8" t="str">
        <f>"女"</f>
        <v>女</v>
      </c>
      <c r="E72" s="9" t="str">
        <f>"1997-03-16"</f>
        <v>1997-03-16</v>
      </c>
      <c r="F72" s="9" t="str">
        <f t="shared" si="21"/>
        <v>本科</v>
      </c>
      <c r="G72" s="9" t="str">
        <f t="shared" si="20"/>
        <v>学士</v>
      </c>
      <c r="H72" s="9" t="str">
        <f>"应用心理学"</f>
        <v>应用心理学</v>
      </c>
      <c r="I72" s="13" t="str">
        <f>"无"</f>
        <v>无</v>
      </c>
      <c r="J72" s="8"/>
    </row>
    <row r="73" spans="1:10" ht="30" customHeight="1">
      <c r="A73" s="17">
        <v>70</v>
      </c>
      <c r="B73" s="8" t="str">
        <f>"冼春凤"</f>
        <v>冼春凤</v>
      </c>
      <c r="C73" s="10" t="s">
        <v>19</v>
      </c>
      <c r="D73" s="8" t="str">
        <f>"女"</f>
        <v>女</v>
      </c>
      <c r="E73" s="9" t="str">
        <f>"1995-07-10"</f>
        <v>1995-07-10</v>
      </c>
      <c r="F73" s="9" t="str">
        <f t="shared" si="21"/>
        <v>本科</v>
      </c>
      <c r="G73" s="9" t="str">
        <f t="shared" si="20"/>
        <v>学士</v>
      </c>
      <c r="H73" s="9" t="str">
        <f>"应用心理学"</f>
        <v>应用心理学</v>
      </c>
      <c r="I73" s="13" t="str">
        <f>"无"</f>
        <v>无</v>
      </c>
      <c r="J73" s="8"/>
    </row>
    <row r="74" spans="1:10" ht="30" customHeight="1">
      <c r="A74" s="17">
        <v>71</v>
      </c>
      <c r="B74" s="8" t="str">
        <f>"许振伟"</f>
        <v>许振伟</v>
      </c>
      <c r="C74" s="10" t="s">
        <v>22</v>
      </c>
      <c r="D74" s="8" t="str">
        <f>"男"</f>
        <v>男</v>
      </c>
      <c r="E74" s="9" t="str">
        <f>"1991-02-04"</f>
        <v>1991-02-04</v>
      </c>
      <c r="F74" s="9" t="str">
        <f t="shared" si="21"/>
        <v>本科</v>
      </c>
      <c r="G74" s="9" t="str">
        <f t="shared" si="20"/>
        <v>学士</v>
      </c>
      <c r="H74" s="9" t="str">
        <f>"临床医学"</f>
        <v>临床医学</v>
      </c>
      <c r="I74" s="13" t="str">
        <f>"主治医师"</f>
        <v>主治医师</v>
      </c>
      <c r="J74" s="8"/>
    </row>
    <row r="75" spans="1:10" ht="30" customHeight="1">
      <c r="A75" s="17">
        <v>72</v>
      </c>
      <c r="B75" s="8" t="str">
        <f>"韦秋圆"</f>
        <v>韦秋圆</v>
      </c>
      <c r="C75" s="10" t="s">
        <v>23</v>
      </c>
      <c r="D75" s="8" t="str">
        <f aca="true" t="shared" si="22" ref="D75:D82">"女"</f>
        <v>女</v>
      </c>
      <c r="E75" s="9" t="str">
        <f>"1988-09-24"</f>
        <v>1988-09-24</v>
      </c>
      <c r="F75" s="9" t="str">
        <f t="shared" si="21"/>
        <v>本科</v>
      </c>
      <c r="G75" s="9" t="str">
        <f t="shared" si="20"/>
        <v>学士</v>
      </c>
      <c r="H75" s="9" t="str">
        <f>"临床医学"</f>
        <v>临床医学</v>
      </c>
      <c r="I75" s="13" t="str">
        <f>"主治医师"</f>
        <v>主治医师</v>
      </c>
      <c r="J75" s="8"/>
    </row>
    <row r="76" spans="1:10" ht="30" customHeight="1">
      <c r="A76" s="17">
        <v>73</v>
      </c>
      <c r="B76" s="8" t="str">
        <f>"唐正婷"</f>
        <v>唐正婷</v>
      </c>
      <c r="C76" s="10" t="s">
        <v>23</v>
      </c>
      <c r="D76" s="8" t="str">
        <f t="shared" si="22"/>
        <v>女</v>
      </c>
      <c r="E76" s="9" t="str">
        <f>"1991-11-27"</f>
        <v>1991-11-27</v>
      </c>
      <c r="F76" s="9" t="str">
        <f t="shared" si="21"/>
        <v>本科</v>
      </c>
      <c r="G76" s="9" t="str">
        <f t="shared" si="20"/>
        <v>学士</v>
      </c>
      <c r="H76" s="9" t="str">
        <f>"临床医学"</f>
        <v>临床医学</v>
      </c>
      <c r="I76" s="13" t="str">
        <f>"医师"</f>
        <v>医师</v>
      </c>
      <c r="J76" s="8"/>
    </row>
    <row r="77" spans="1:10" ht="30" customHeight="1">
      <c r="A77" s="17">
        <v>74</v>
      </c>
      <c r="B77" s="8" t="str">
        <f>"肖秀玉"</f>
        <v>肖秀玉</v>
      </c>
      <c r="C77" s="10" t="s">
        <v>24</v>
      </c>
      <c r="D77" s="8" t="str">
        <f t="shared" si="22"/>
        <v>女</v>
      </c>
      <c r="E77" s="9" t="str">
        <f>"1992-05-18"</f>
        <v>1992-05-18</v>
      </c>
      <c r="F77" s="9" t="str">
        <f t="shared" si="21"/>
        <v>本科</v>
      </c>
      <c r="G77" s="9" t="str">
        <f t="shared" si="20"/>
        <v>学士</v>
      </c>
      <c r="H77" s="9" t="str">
        <f>"康复治疗学"</f>
        <v>康复治疗学</v>
      </c>
      <c r="I77" s="13" t="str">
        <f>"康复技师"</f>
        <v>康复技师</v>
      </c>
      <c r="J77" s="8"/>
    </row>
    <row r="78" spans="1:10" ht="30" customHeight="1">
      <c r="A78" s="17">
        <v>75</v>
      </c>
      <c r="B78" s="17" t="str">
        <f>"吴晶梅"</f>
        <v>吴晶梅</v>
      </c>
      <c r="C78" s="18" t="s">
        <v>24</v>
      </c>
      <c r="D78" s="17" t="str">
        <f t="shared" si="22"/>
        <v>女</v>
      </c>
      <c r="E78" s="17" t="str">
        <f>"1992-05-08"</f>
        <v>1992-05-08</v>
      </c>
      <c r="F78" s="17" t="str">
        <f t="shared" si="21"/>
        <v>本科</v>
      </c>
      <c r="G78" s="17" t="str">
        <f t="shared" si="20"/>
        <v>学士</v>
      </c>
      <c r="H78" s="17" t="str">
        <f>"康复治疗学"</f>
        <v>康复治疗学</v>
      </c>
      <c r="I78" s="19" t="str">
        <f>"康复技师"</f>
        <v>康复技师</v>
      </c>
      <c r="J78" s="17"/>
    </row>
    <row r="79" spans="1:10" ht="30" customHeight="1">
      <c r="A79" s="17">
        <v>76</v>
      </c>
      <c r="B79" s="17" t="str">
        <f>"朱兰兰"</f>
        <v>朱兰兰</v>
      </c>
      <c r="C79" s="18" t="s">
        <v>39</v>
      </c>
      <c r="D79" s="17" t="str">
        <f t="shared" si="22"/>
        <v>女</v>
      </c>
      <c r="E79" s="17" t="str">
        <f>"1984-10-07"</f>
        <v>1984-10-07</v>
      </c>
      <c r="F79" s="17" t="str">
        <f>"硕士研究生"</f>
        <v>硕士研究生</v>
      </c>
      <c r="G79" s="17" t="str">
        <f>"硕士"</f>
        <v>硕士</v>
      </c>
      <c r="H79" s="17" t="str">
        <f>"卫生毒理学"</f>
        <v>卫生毒理学</v>
      </c>
      <c r="I79" s="14" t="str">
        <f>"副主任医师"</f>
        <v>副主任医师</v>
      </c>
      <c r="J79" s="17"/>
    </row>
    <row r="80" spans="1:10" ht="30" customHeight="1">
      <c r="A80" s="17">
        <v>77</v>
      </c>
      <c r="B80" s="8" t="str">
        <f>"谷春芳"</f>
        <v>谷春芳</v>
      </c>
      <c r="C80" s="9" t="s">
        <v>10</v>
      </c>
      <c r="D80" s="8" t="str">
        <f t="shared" si="22"/>
        <v>女</v>
      </c>
      <c r="E80" s="9" t="str">
        <f>"1990-03-05"</f>
        <v>1990-03-05</v>
      </c>
      <c r="F80" s="9" t="str">
        <f>"硕士研究生"</f>
        <v>硕士研究生</v>
      </c>
      <c r="G80" s="9" t="str">
        <f>"硕士"</f>
        <v>硕士</v>
      </c>
      <c r="H80" s="9" t="str">
        <f>"儿科学"</f>
        <v>儿科学</v>
      </c>
      <c r="I80" s="13" t="str">
        <f>"医师"</f>
        <v>医师</v>
      </c>
      <c r="J80" s="8"/>
    </row>
    <row r="81" spans="1:10" ht="30" customHeight="1">
      <c r="A81" s="17">
        <v>78</v>
      </c>
      <c r="B81" s="8" t="str">
        <f>"李晓燕"</f>
        <v>李晓燕</v>
      </c>
      <c r="C81" s="10" t="s">
        <v>17</v>
      </c>
      <c r="D81" s="8" t="str">
        <f t="shared" si="22"/>
        <v>女</v>
      </c>
      <c r="E81" s="9" t="str">
        <f>"1991-07-29"</f>
        <v>1991-07-29</v>
      </c>
      <c r="F81" s="9" t="str">
        <f t="shared" si="19"/>
        <v>本科</v>
      </c>
      <c r="G81" s="9" t="str">
        <f>"学士"</f>
        <v>学士</v>
      </c>
      <c r="H81" s="11" t="str">
        <f>"中西医临床医学"</f>
        <v>中西医临床医学</v>
      </c>
      <c r="I81" s="13" t="str">
        <f>"医师"</f>
        <v>医师</v>
      </c>
      <c r="J81" s="8"/>
    </row>
    <row r="82" spans="1:10" ht="30" customHeight="1">
      <c r="A82" s="17">
        <v>79</v>
      </c>
      <c r="B82" s="22" t="str">
        <f>"何萍"</f>
        <v>何萍</v>
      </c>
      <c r="C82" s="20" t="s">
        <v>41</v>
      </c>
      <c r="D82" s="22" t="str">
        <f t="shared" si="22"/>
        <v>女</v>
      </c>
      <c r="E82" s="22" t="str">
        <f>"1996-01-20"</f>
        <v>1996-01-20</v>
      </c>
      <c r="F82" s="22" t="str">
        <f t="shared" si="19"/>
        <v>本科</v>
      </c>
      <c r="G82" s="22" t="str">
        <f>"学士"</f>
        <v>学士</v>
      </c>
      <c r="H82" s="22" t="str">
        <f>"软件工程"</f>
        <v>软件工程</v>
      </c>
      <c r="I82" s="23" t="str">
        <f>"无"</f>
        <v>无</v>
      </c>
      <c r="J82" s="22"/>
    </row>
    <row r="110" ht="46.5" customHeight="1"/>
    <row r="111" ht="45.75" customHeight="1"/>
  </sheetData>
  <sheetProtection/>
  <mergeCells count="2">
    <mergeCell ref="A2:J2"/>
    <mergeCell ref="A1:J1"/>
  </mergeCells>
  <printOptions horizontalCentered="1"/>
  <pageMargins left="0.3937007874015748" right="0.3937007874015748" top="0.3937007874015748" bottom="0.3937007874015748" header="0.31496062992125984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jg</cp:lastModifiedBy>
  <cp:lastPrinted>2021-03-09T04:32:33Z</cp:lastPrinted>
  <dcterms:created xsi:type="dcterms:W3CDTF">2021-01-18T01:03:05Z</dcterms:created>
  <dcterms:modified xsi:type="dcterms:W3CDTF">2021-03-23T04:53:58Z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